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40" activeTab="0"/>
  </bookViews>
  <sheets>
    <sheet name="Template" sheetId="1" r:id="rId1"/>
    <sheet name="Completed" sheetId="2" r:id="rId2"/>
    <sheet name="Automated" sheetId="3" r:id="rId3"/>
  </sheets>
  <definedNames>
    <definedName name="jointc" localSheetId="2">'Automated'!$E$14</definedName>
    <definedName name="jointc" localSheetId="0">'Template'!$E$14</definedName>
    <definedName name="jointc">'Completed'!$E$14</definedName>
    <definedName name="joints">'Automated'!$E$14</definedName>
  </definedNames>
  <calcPr fullCalcOnLoad="1"/>
</workbook>
</file>

<file path=xl/sharedStrings.xml><?xml version="1.0" encoding="utf-8"?>
<sst xmlns="http://schemas.openxmlformats.org/spreadsheetml/2006/main" count="122" uniqueCount="48">
  <si>
    <t>Water</t>
  </si>
  <si>
    <t>Sewerage</t>
  </si>
  <si>
    <t>Joint</t>
  </si>
  <si>
    <t>Total</t>
  </si>
  <si>
    <t>Assets $</t>
  </si>
  <si>
    <t>Megaliters handled</t>
  </si>
  <si>
    <t>Employees</t>
  </si>
  <si>
    <t>Traceable costs $pa</t>
  </si>
  <si>
    <t>Return on assets</t>
  </si>
  <si>
    <t>Labor costs</t>
  </si>
  <si>
    <t>Materials</t>
  </si>
  <si>
    <t>Depreciation</t>
  </si>
  <si>
    <t>Other</t>
  </si>
  <si>
    <t>Total costs</t>
  </si>
  <si>
    <t>Various Cost Allocations</t>
  </si>
  <si>
    <t>Water costs per ML</t>
  </si>
  <si>
    <t>Sewerage costs per ML</t>
  </si>
  <si>
    <t>Basic Traceable Costs</t>
  </si>
  <si>
    <t>All joint costs to sewerage</t>
  </si>
  <si>
    <t>Joint costs by employment</t>
  </si>
  <si>
    <t>Joint costs by payroll</t>
  </si>
  <si>
    <t>By all traceable costs</t>
  </si>
  <si>
    <t>By assets</t>
  </si>
  <si>
    <t>By volume</t>
  </si>
  <si>
    <t>All joint costs to water</t>
  </si>
  <si>
    <t>Example of composite allocation</t>
  </si>
  <si>
    <t>Basic traceable costs</t>
  </si>
  <si>
    <t>Labor costs by employment</t>
  </si>
  <si>
    <t>Material costs by material</t>
  </si>
  <si>
    <t>Depn and assets by assets</t>
  </si>
  <si>
    <t>Other by traceable costs</t>
  </si>
  <si>
    <t>12.6 Water and sewerage cost allocation</t>
  </si>
  <si>
    <t>Joint costs to employment</t>
  </si>
  <si>
    <t>Joint costs to payroll</t>
  </si>
  <si>
    <t>Joint costs by all traceable costs</t>
  </si>
  <si>
    <t>Joint costs by assets</t>
  </si>
  <si>
    <t>Joint costs by volume handled</t>
  </si>
  <si>
    <t>Method</t>
  </si>
  <si>
    <t>Allocation basis</t>
  </si>
  <si>
    <t>Proportion</t>
  </si>
  <si>
    <t>Amount allocated</t>
  </si>
  <si>
    <t>Megaliters</t>
  </si>
  <si>
    <t>Units for allocation of joint costs</t>
  </si>
  <si>
    <t>Traceable costs per megaliter</t>
  </si>
  <si>
    <t>Allocated joint costs per megaliter</t>
  </si>
  <si>
    <t>Total cost per megaliter</t>
  </si>
  <si>
    <t>Method of allocation</t>
  </si>
  <si>
    <t>12.6 Water and sewerage cost allocation - automated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</si>
</sst>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0_);\(&quot;$&quot;#,##0.000\)"/>
    <numFmt numFmtId="166" formatCode="&quot;$&quot;#,##0.0_);\(&quot;$&quot;#,##0.0\)"/>
    <numFmt numFmtId="167" formatCode="d/m/yy"/>
    <numFmt numFmtId="168" formatCode="d/m/yy\ h:mm"/>
    <numFmt numFmtId="169" formatCode="0.000\l"/>
    <numFmt numFmtId="170" formatCode="0.000"/>
    <numFmt numFmtId="171" formatCode="\ 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Helv"/>
      <family val="0"/>
    </font>
    <font>
      <b/>
      <sz val="12"/>
      <color indexed="13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9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30" applyFont="1">
      <alignment/>
      <protection/>
    </xf>
    <xf numFmtId="0" fontId="1" fillId="0" borderId="0" xfId="30" applyFont="1">
      <alignment/>
      <protection/>
    </xf>
    <xf numFmtId="0" fontId="1" fillId="0" borderId="1" xfId="30" applyFont="1" applyBorder="1" applyAlignment="1">
      <alignment horizontal="right"/>
      <protection/>
    </xf>
    <xf numFmtId="3" fontId="0" fillId="0" borderId="0" xfId="30" applyNumberFormat="1" applyFont="1">
      <alignment/>
      <protection/>
    </xf>
    <xf numFmtId="3" fontId="1" fillId="0" borderId="1" xfId="30" applyNumberFormat="1" applyFont="1" applyBorder="1" applyAlignment="1">
      <alignment horizontal="centerContinuous"/>
      <protection/>
    </xf>
    <xf numFmtId="3" fontId="1" fillId="0" borderId="1" xfId="30" applyNumberFormat="1" applyFont="1" applyBorder="1" applyAlignment="1">
      <alignment horizontal="right"/>
      <protection/>
    </xf>
    <xf numFmtId="9" fontId="0" fillId="0" borderId="0" xfId="30" applyNumberFormat="1" applyFont="1">
      <alignment/>
      <protection/>
    </xf>
    <xf numFmtId="3" fontId="1" fillId="0" borderId="2" xfId="30" applyNumberFormat="1" applyFont="1" applyBorder="1">
      <alignment/>
      <protection/>
    </xf>
    <xf numFmtId="0" fontId="1" fillId="0" borderId="0" xfId="30" applyFont="1" applyAlignment="1" quotePrefix="1">
      <alignment horizontal="left"/>
      <protection/>
    </xf>
    <xf numFmtId="0" fontId="1" fillId="0" borderId="1" xfId="30" applyFont="1" applyBorder="1" applyAlignment="1">
      <alignment horizontal="right" vertical="top" wrapText="1"/>
      <protection/>
    </xf>
    <xf numFmtId="0" fontId="0" fillId="0" borderId="3" xfId="30" applyFont="1" applyBorder="1">
      <alignment/>
      <protection/>
    </xf>
    <xf numFmtId="3" fontId="0" fillId="0" borderId="3" xfId="30" applyNumberFormat="1" applyFont="1" applyBorder="1">
      <alignment/>
      <protection/>
    </xf>
    <xf numFmtId="0" fontId="0" fillId="0" borderId="0" xfId="30" applyFont="1" applyBorder="1">
      <alignment/>
      <protection/>
    </xf>
    <xf numFmtId="3" fontId="0" fillId="0" borderId="0" xfId="30" applyNumberFormat="1" applyFont="1" applyBorder="1">
      <alignment/>
      <protection/>
    </xf>
    <xf numFmtId="5" fontId="0" fillId="0" borderId="0" xfId="30" applyNumberFormat="1" applyFont="1" applyBorder="1">
      <alignment/>
      <protection/>
    </xf>
    <xf numFmtId="0" fontId="2" fillId="0" borderId="0" xfId="30" applyFont="1">
      <alignment/>
      <protection/>
    </xf>
    <xf numFmtId="5" fontId="0" fillId="0" borderId="0" xfId="30" applyNumberFormat="1" applyFont="1">
      <alignment/>
      <protection/>
    </xf>
    <xf numFmtId="0" fontId="7" fillId="0" borderId="3" xfId="30" applyFont="1" applyBorder="1">
      <alignment/>
      <protection/>
    </xf>
    <xf numFmtId="3" fontId="7" fillId="0" borderId="3" xfId="30" applyNumberFormat="1" applyFont="1" applyBorder="1">
      <alignment/>
      <protection/>
    </xf>
    <xf numFmtId="5" fontId="7" fillId="0" borderId="3" xfId="30" applyNumberFormat="1" applyFont="1" applyBorder="1">
      <alignment/>
      <protection/>
    </xf>
    <xf numFmtId="0" fontId="8" fillId="0" borderId="0" xfId="30" applyFont="1">
      <alignment/>
      <protection/>
    </xf>
    <xf numFmtId="0" fontId="0" fillId="0" borderId="0" xfId="30" applyFont="1" applyAlignment="1" quotePrefix="1">
      <alignment horizontal="left"/>
      <protection/>
    </xf>
    <xf numFmtId="0" fontId="7" fillId="0" borderId="0" xfId="30" applyFont="1">
      <alignment/>
      <protection/>
    </xf>
    <xf numFmtId="3" fontId="7" fillId="0" borderId="0" xfId="30" applyNumberFormat="1" applyFont="1">
      <alignment/>
      <protection/>
    </xf>
    <xf numFmtId="5" fontId="7" fillId="0" borderId="0" xfId="30" applyNumberFormat="1" applyFont="1">
      <alignment/>
      <protection/>
    </xf>
    <xf numFmtId="0" fontId="6" fillId="2" borderId="0" xfId="30" applyFont="1" applyFill="1" applyAlignment="1">
      <alignment horizontal="left"/>
      <protection/>
    </xf>
    <xf numFmtId="0" fontId="0" fillId="2" borderId="0" xfId="30" applyFont="1" applyFill="1">
      <alignment/>
      <protection/>
    </xf>
    <xf numFmtId="0" fontId="1" fillId="2" borderId="0" xfId="30" applyFont="1" applyFill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3" borderId="0" xfId="0" applyNumberFormat="1" applyFill="1" applyAlignment="1">
      <alignment/>
    </xf>
    <xf numFmtId="3" fontId="0" fillId="3" borderId="4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30" applyFont="1" applyBorder="1" applyAlignment="1">
      <alignment horizontal="right"/>
      <protection/>
    </xf>
    <xf numFmtId="3" fontId="1" fillId="0" borderId="0" xfId="30" applyNumberFormat="1" applyFont="1" applyBorder="1" applyAlignment="1">
      <alignment horizontal="right"/>
      <protection/>
    </xf>
    <xf numFmtId="3" fontId="1" fillId="0" borderId="0" xfId="30" applyNumberFormat="1" applyFont="1" applyBorder="1">
      <alignment/>
      <protection/>
    </xf>
    <xf numFmtId="0" fontId="9" fillId="4" borderId="5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3" fontId="9" fillId="4" borderId="0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9" fillId="4" borderId="10" xfId="0" applyFont="1" applyFill="1" applyBorder="1" applyAlignment="1">
      <alignment horizontal="right"/>
    </xf>
    <xf numFmtId="0" fontId="9" fillId="4" borderId="11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0" borderId="13" xfId="0" applyFont="1" applyBorder="1" applyAlignment="1">
      <alignment horizontal="right"/>
    </xf>
    <xf numFmtId="3" fontId="0" fillId="6" borderId="3" xfId="30" applyNumberFormat="1" applyFont="1" applyFill="1" applyBorder="1">
      <alignment/>
      <protection/>
    </xf>
    <xf numFmtId="3" fontId="0" fillId="6" borderId="0" xfId="30" applyNumberFormat="1" applyFont="1" applyFill="1">
      <alignment/>
      <protection/>
    </xf>
    <xf numFmtId="3" fontId="7" fillId="6" borderId="3" xfId="30" applyNumberFormat="1" applyFont="1" applyFill="1" applyBorder="1">
      <alignment/>
      <protection/>
    </xf>
    <xf numFmtId="0" fontId="0" fillId="6" borderId="0" xfId="30" applyFont="1" applyFill="1">
      <alignment/>
      <protection/>
    </xf>
    <xf numFmtId="5" fontId="7" fillId="6" borderId="3" xfId="30" applyNumberFormat="1" applyFont="1" applyFill="1" applyBorder="1">
      <alignment/>
      <protection/>
    </xf>
    <xf numFmtId="0" fontId="6" fillId="7" borderId="0" xfId="30" applyFont="1" applyFill="1" applyAlignment="1">
      <alignment horizontal="left"/>
      <protection/>
    </xf>
    <xf numFmtId="0" fontId="0" fillId="7" borderId="0" xfId="30" applyFont="1" applyFill="1">
      <alignment/>
      <protection/>
    </xf>
    <xf numFmtId="0" fontId="1" fillId="7" borderId="0" xfId="30" applyFont="1" applyFill="1">
      <alignment/>
      <protection/>
    </xf>
  </cellXfs>
  <cellStyles count="18">
    <cellStyle name="Normal" xfId="0"/>
    <cellStyle name="Comma" xfId="15"/>
    <cellStyle name="Comma [0]" xfId="16"/>
    <cellStyle name="Comma_CH11EX01" xfId="17"/>
    <cellStyle name="Comma_CH11EX02" xfId="18"/>
    <cellStyle name="Comma_CH11EX03" xfId="19"/>
    <cellStyle name="Comma_CH11EX05" xfId="20"/>
    <cellStyle name="Currency" xfId="21"/>
    <cellStyle name="Currency [0]" xfId="22"/>
    <cellStyle name="Currency_CH11EX01" xfId="23"/>
    <cellStyle name="Currency_CH11EX02" xfId="24"/>
    <cellStyle name="Currency_CH11EX03" xfId="25"/>
    <cellStyle name="Currency_CH11EX05" xfId="26"/>
    <cellStyle name="Normal_CH11EX01" xfId="27"/>
    <cellStyle name="Normal_CH11EX02" xfId="28"/>
    <cellStyle name="Normal_CH11EX03" xfId="29"/>
    <cellStyle name="Normal_CH11EX05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Automated!$C$19:$D$19</c:f>
              <c:strCache/>
            </c:strRef>
          </c:cat>
          <c:val>
            <c:numRef>
              <c:f>Automated!$C$26:$D$26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8860168"/>
        <c:axId val="35523785"/>
      </c:barChart>
      <c:catAx>
        <c:axId val="1886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23785"/>
        <c:crosses val="autoZero"/>
        <c:auto val="1"/>
        <c:lblOffset val="100"/>
        <c:noMultiLvlLbl val="0"/>
      </c:catAx>
      <c:valAx>
        <c:axId val="35523785"/>
        <c:scaling>
          <c:orientation val="minMax"/>
          <c:max val="10000"/>
        </c:scaling>
        <c:axPos val="l"/>
        <c:majorGridlines>
          <c:spPr>
            <a:ln w="3175">
              <a:solidFill>
                <a:srgbClr val="9933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8601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3366"/>
    </a:solidFill>
  </c:spPr>
  <c:txPr>
    <a:bodyPr vert="horz" rot="0"/>
    <a:lstStyle/>
    <a:p>
      <a:pPr>
        <a:defRPr lang="en-US" cap="none" sz="800" b="1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20</xdr:row>
      <xdr:rowOff>66675</xdr:rowOff>
    </xdr:from>
    <xdr:to>
      <xdr:col>2</xdr:col>
      <xdr:colOff>238125</xdr:colOff>
      <xdr:row>33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447800" y="3724275"/>
          <a:ext cx="323850" cy="2124075"/>
        </a:xfrm>
        <a:prstGeom prst="line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33</xdr:row>
      <xdr:rowOff>9525</xdr:rowOff>
    </xdr:from>
    <xdr:to>
      <xdr:col>7</xdr:col>
      <xdr:colOff>628650</xdr:colOff>
      <xdr:row>38</xdr:row>
      <xdr:rowOff>19050</xdr:rowOff>
    </xdr:to>
    <xdr:sp>
      <xdr:nvSpPr>
        <xdr:cNvPr id="2" name="Text 13"/>
        <xdr:cNvSpPr txBox="1">
          <a:spLocks noChangeArrowheads="1"/>
        </xdr:cNvSpPr>
      </xdr:nvSpPr>
      <xdr:spPr>
        <a:xfrm>
          <a:off x="542925" y="5829300"/>
          <a:ext cx="5191125" cy="819150"/>
        </a:xfrm>
        <a:prstGeom prst="roundRect">
          <a:avLst/>
        </a:prstGeom>
        <a:solidFill>
          <a:srgbClr val="FFCC99"/>
        </a:solidFill>
        <a:ln w="1714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cell sets the pattern.  The formula is C6/($C6+$D6) * $E$14.  That is, employment in water as a proportion of total traceable employment, multiplied by total joint costs (E14).  Of course, different costs can be allocated on different bases.  The example below shows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one way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 which a composite allocation can be made.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20</xdr:row>
      <xdr:rowOff>66675</xdr:rowOff>
    </xdr:from>
    <xdr:to>
      <xdr:col>2</xdr:col>
      <xdr:colOff>238125</xdr:colOff>
      <xdr:row>33</xdr:row>
      <xdr:rowOff>28575</xdr:rowOff>
    </xdr:to>
    <xdr:sp>
      <xdr:nvSpPr>
        <xdr:cNvPr id="1" name="Line 12"/>
        <xdr:cNvSpPr>
          <a:spLocks/>
        </xdr:cNvSpPr>
      </xdr:nvSpPr>
      <xdr:spPr>
        <a:xfrm flipH="1">
          <a:off x="1447800" y="3724275"/>
          <a:ext cx="323850" cy="2124075"/>
        </a:xfrm>
        <a:prstGeom prst="line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33</xdr:row>
      <xdr:rowOff>9525</xdr:rowOff>
    </xdr:from>
    <xdr:to>
      <xdr:col>7</xdr:col>
      <xdr:colOff>628650</xdr:colOff>
      <xdr:row>38</xdr:row>
      <xdr:rowOff>19050</xdr:rowOff>
    </xdr:to>
    <xdr:sp>
      <xdr:nvSpPr>
        <xdr:cNvPr id="2" name="Text 13"/>
        <xdr:cNvSpPr txBox="1">
          <a:spLocks noChangeArrowheads="1"/>
        </xdr:cNvSpPr>
      </xdr:nvSpPr>
      <xdr:spPr>
        <a:xfrm>
          <a:off x="542925" y="5829300"/>
          <a:ext cx="5191125" cy="819150"/>
        </a:xfrm>
        <a:prstGeom prst="roundRect">
          <a:avLst/>
        </a:prstGeom>
        <a:solidFill>
          <a:srgbClr val="FFCC99"/>
        </a:solidFill>
        <a:ln w="1714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cell sets the pattern.  The formula is C6/($C6+$D6) * $E$14.  That is, employment in water as a proportion of total traceable employment, multiplied by total joint costs (E14).  Of course, different costs can be allocated on different bases.  The example below shows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one way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 which a composite allocation can be made.
</a:t>
          </a:r>
        </a:p>
      </xdr:txBody>
    </xdr:sp>
    <xdr:clientData/>
  </xdr:twoCellAnchor>
  <xdr:twoCellAnchor>
    <xdr:from>
      <xdr:col>6</xdr:col>
      <xdr:colOff>352425</xdr:colOff>
      <xdr:row>2</xdr:row>
      <xdr:rowOff>85725</xdr:rowOff>
    </xdr:from>
    <xdr:to>
      <xdr:col>8</xdr:col>
      <xdr:colOff>400050</xdr:colOff>
      <xdr:row>13</xdr:row>
      <xdr:rowOff>76200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4800600" y="447675"/>
          <a:ext cx="1409700" cy="1800225"/>
        </a:xfrm>
        <a:prstGeom prst="rect">
          <a:avLst/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spreadsheet may be difficult to follow.  You may like to look at the following spreadsheet "Automated" in which you can immediately vary the bases of allocation.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16</xdr:row>
      <xdr:rowOff>47625</xdr:rowOff>
    </xdr:from>
    <xdr:to>
      <xdr:col>8</xdr:col>
      <xdr:colOff>266700</xdr:colOff>
      <xdr:row>20</xdr:row>
      <xdr:rowOff>85725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4848225" y="2724150"/>
          <a:ext cx="1000125" cy="581025"/>
        </a:xfrm>
        <a:prstGeom prst="rect">
          <a:avLst/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Click to change bases of allocation</a:t>
          </a:r>
        </a:p>
      </xdr:txBody>
    </xdr:sp>
    <xdr:clientData/>
  </xdr:twoCellAnchor>
  <xdr:twoCellAnchor>
    <xdr:from>
      <xdr:col>5</xdr:col>
      <xdr:colOff>228600</xdr:colOff>
      <xdr:row>21</xdr:row>
      <xdr:rowOff>9525</xdr:rowOff>
    </xdr:from>
    <xdr:to>
      <xdr:col>8</xdr:col>
      <xdr:colOff>504825</xdr:colOff>
      <xdr:row>34</xdr:row>
      <xdr:rowOff>123825</xdr:rowOff>
    </xdr:to>
    <xdr:graphicFrame>
      <xdr:nvGraphicFramePr>
        <xdr:cNvPr id="2" name="Chart 13"/>
        <xdr:cNvGraphicFramePr/>
      </xdr:nvGraphicFramePr>
      <xdr:xfrm>
        <a:off x="4143375" y="3390900"/>
        <a:ext cx="1943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7.57421875" style="1" customWidth="1"/>
    <col min="3" max="3" width="11.00390625" style="1" customWidth="1"/>
    <col min="4" max="4" width="11.28125" style="1" customWidth="1"/>
    <col min="5" max="6" width="10.7109375" style="1" customWidth="1"/>
    <col min="7" max="7" width="9.8515625" style="1" customWidth="1"/>
    <col min="8" max="8" width="10.57421875" style="1" customWidth="1"/>
    <col min="9" max="16384" width="9.140625" style="1" customWidth="1"/>
  </cols>
  <sheetData>
    <row r="1" spans="1:5" ht="15.75">
      <c r="A1" s="59" t="s">
        <v>31</v>
      </c>
      <c r="B1" s="60"/>
      <c r="C1" s="61"/>
      <c r="D1" s="60"/>
      <c r="E1" s="60"/>
    </row>
    <row r="3" spans="3:6" ht="13.5" thickBot="1">
      <c r="C3" s="3" t="s">
        <v>0</v>
      </c>
      <c r="D3" s="3" t="s">
        <v>1</v>
      </c>
      <c r="E3" s="3" t="s">
        <v>2</v>
      </c>
      <c r="F3" s="3" t="s">
        <v>3</v>
      </c>
    </row>
    <row r="4" spans="1:6" ht="12.75">
      <c r="A4" s="1" t="s">
        <v>4</v>
      </c>
      <c r="C4" s="4">
        <v>4000000</v>
      </c>
      <c r="D4" s="4">
        <v>2000000</v>
      </c>
      <c r="E4" s="4">
        <v>1000000</v>
      </c>
      <c r="F4" s="4">
        <f>SUM(C4:E4)</f>
        <v>7000000</v>
      </c>
    </row>
    <row r="5" spans="1:6" ht="12.75">
      <c r="A5" s="1" t="s">
        <v>5</v>
      </c>
      <c r="C5" s="4">
        <v>2000</v>
      </c>
      <c r="D5" s="1">
        <v>160</v>
      </c>
      <c r="F5" s="1">
        <f>C5+D5</f>
        <v>2160</v>
      </c>
    </row>
    <row r="6" spans="1:6" ht="12.75">
      <c r="A6" s="1" t="s">
        <v>6</v>
      </c>
      <c r="C6" s="1">
        <v>5</v>
      </c>
      <c r="D6" s="1">
        <v>8</v>
      </c>
      <c r="E6" s="1">
        <v>15</v>
      </c>
      <c r="F6" s="1">
        <f>C6+D6+E6</f>
        <v>28</v>
      </c>
    </row>
    <row r="7" spans="3:6" ht="12.75">
      <c r="C7" s="4"/>
      <c r="D7" s="4"/>
      <c r="E7" s="4"/>
      <c r="F7" s="4"/>
    </row>
    <row r="8" spans="3:6" ht="13.5" thickBot="1">
      <c r="C8" s="5" t="s">
        <v>7</v>
      </c>
      <c r="D8" s="5"/>
      <c r="E8" s="6" t="s">
        <v>2</v>
      </c>
      <c r="F8" s="6" t="s">
        <v>3</v>
      </c>
    </row>
    <row r="9" spans="1:6" ht="12.75">
      <c r="A9" s="1" t="s">
        <v>8</v>
      </c>
      <c r="B9" s="7">
        <v>0.07</v>
      </c>
      <c r="C9" s="4">
        <f>+C4*$B9</f>
        <v>280000</v>
      </c>
      <c r="D9" s="4">
        <f>+D4*$B9</f>
        <v>140000</v>
      </c>
      <c r="E9" s="4">
        <f>+E4*$B9</f>
        <v>70000</v>
      </c>
      <c r="F9" s="4">
        <f aca="true" t="shared" si="0" ref="F9:F14">SUM(C9:E9)</f>
        <v>490000</v>
      </c>
    </row>
    <row r="10" spans="1:6" ht="12.75">
      <c r="A10" s="1" t="s">
        <v>9</v>
      </c>
      <c r="C10" s="4">
        <v>170000</v>
      </c>
      <c r="D10" s="4">
        <v>225000</v>
      </c>
      <c r="E10" s="4">
        <v>650000</v>
      </c>
      <c r="F10" s="4">
        <f t="shared" si="0"/>
        <v>1045000</v>
      </c>
    </row>
    <row r="11" spans="1:6" ht="12.75">
      <c r="A11" s="1" t="s">
        <v>10</v>
      </c>
      <c r="C11" s="4">
        <v>30000</v>
      </c>
      <c r="D11" s="4">
        <v>20000</v>
      </c>
      <c r="E11" s="4">
        <v>5000</v>
      </c>
      <c r="F11" s="4">
        <f t="shared" si="0"/>
        <v>55000</v>
      </c>
    </row>
    <row r="12" spans="1:6" ht="12.75">
      <c r="A12" s="1" t="s">
        <v>11</v>
      </c>
      <c r="B12" s="7">
        <v>0.03</v>
      </c>
      <c r="C12" s="4">
        <f>+C4*$B12</f>
        <v>120000</v>
      </c>
      <c r="D12" s="4">
        <f>+D4*$B12</f>
        <v>60000</v>
      </c>
      <c r="E12" s="4">
        <f>+E4*$B12</f>
        <v>30000</v>
      </c>
      <c r="F12" s="4">
        <f t="shared" si="0"/>
        <v>210000</v>
      </c>
    </row>
    <row r="13" spans="1:6" ht="13.5" thickBot="1">
      <c r="A13" s="1" t="s">
        <v>12</v>
      </c>
      <c r="C13" s="4">
        <v>55000</v>
      </c>
      <c r="D13" s="4">
        <v>70000</v>
      </c>
      <c r="E13" s="4">
        <v>75000</v>
      </c>
      <c r="F13" s="4">
        <f t="shared" si="0"/>
        <v>200000</v>
      </c>
    </row>
    <row r="14" spans="1:6" ht="12.75">
      <c r="A14" s="2" t="s">
        <v>13</v>
      </c>
      <c r="B14" s="2"/>
      <c r="C14" s="8">
        <f>SUM(C9:C13)</f>
        <v>655000</v>
      </c>
      <c r="D14" s="8">
        <f>SUM(D9:D13)</f>
        <v>515000</v>
      </c>
      <c r="E14" s="8">
        <f>SUM(E9:E13)</f>
        <v>830000</v>
      </c>
      <c r="F14" s="8">
        <f t="shared" si="0"/>
        <v>2000000</v>
      </c>
    </row>
    <row r="16" ht="12.75">
      <c r="A16" s="9" t="s">
        <v>14</v>
      </c>
    </row>
    <row r="17" spans="1:8" ht="39" customHeight="1" thickBot="1">
      <c r="A17" s="10"/>
      <c r="B17" s="10"/>
      <c r="C17" s="10" t="s">
        <v>0</v>
      </c>
      <c r="D17" s="10" t="s">
        <v>1</v>
      </c>
      <c r="E17" s="10"/>
      <c r="F17" s="10" t="s">
        <v>3</v>
      </c>
      <c r="G17" s="10" t="s">
        <v>15</v>
      </c>
      <c r="H17" s="10" t="s">
        <v>16</v>
      </c>
    </row>
    <row r="18" spans="1:8" ht="13.5" thickBot="1">
      <c r="A18" s="11" t="s">
        <v>17</v>
      </c>
      <c r="B18" s="11"/>
      <c r="C18" s="54"/>
      <c r="D18" s="54"/>
      <c r="E18" s="13"/>
      <c r="F18" s="14"/>
      <c r="G18" s="15"/>
      <c r="H18" s="13"/>
    </row>
    <row r="19" spans="1:7" ht="12.75">
      <c r="A19" s="16" t="s">
        <v>18</v>
      </c>
      <c r="C19" s="55"/>
      <c r="D19" s="55"/>
      <c r="F19" s="4"/>
      <c r="G19" s="17"/>
    </row>
    <row r="20" spans="1:8" s="21" customFormat="1" ht="13.5" thickBot="1">
      <c r="A20" s="18" t="s">
        <v>3</v>
      </c>
      <c r="B20" s="18"/>
      <c r="C20" s="56"/>
      <c r="D20" s="56"/>
      <c r="E20" s="18"/>
      <c r="F20" s="56"/>
      <c r="G20" s="58"/>
      <c r="H20" s="58"/>
    </row>
    <row r="21" spans="1:7" ht="12.75">
      <c r="A21" s="16" t="s">
        <v>19</v>
      </c>
      <c r="C21" s="55"/>
      <c r="D21" s="55"/>
      <c r="F21" s="4"/>
      <c r="G21" s="17"/>
    </row>
    <row r="22" spans="1:8" s="21" customFormat="1" ht="13.5" thickBot="1">
      <c r="A22" s="18" t="s">
        <v>3</v>
      </c>
      <c r="B22" s="18"/>
      <c r="C22" s="56"/>
      <c r="D22" s="56"/>
      <c r="E22" s="18"/>
      <c r="F22" s="56"/>
      <c r="G22" s="58"/>
      <c r="H22" s="58"/>
    </row>
    <row r="23" spans="1:7" ht="12.75">
      <c r="A23" s="16" t="s">
        <v>20</v>
      </c>
      <c r="C23" s="55"/>
      <c r="D23" s="55"/>
      <c r="F23" s="4"/>
      <c r="G23" s="17"/>
    </row>
    <row r="24" spans="1:8" s="21" customFormat="1" ht="13.5" thickBot="1">
      <c r="A24" s="18" t="s">
        <v>3</v>
      </c>
      <c r="B24" s="18"/>
      <c r="C24" s="56"/>
      <c r="D24" s="56"/>
      <c r="E24" s="18"/>
      <c r="F24" s="56"/>
      <c r="G24" s="58"/>
      <c r="H24" s="58"/>
    </row>
    <row r="25" spans="1:7" ht="12.75">
      <c r="A25" s="16" t="s">
        <v>21</v>
      </c>
      <c r="C25" s="55"/>
      <c r="D25" s="55"/>
      <c r="F25" s="4"/>
      <c r="G25" s="17"/>
    </row>
    <row r="26" spans="1:8" s="21" customFormat="1" ht="13.5" thickBot="1">
      <c r="A26" s="18" t="s">
        <v>3</v>
      </c>
      <c r="B26" s="18"/>
      <c r="C26" s="56"/>
      <c r="D26" s="56"/>
      <c r="E26" s="18"/>
      <c r="F26" s="56"/>
      <c r="G26" s="58"/>
      <c r="H26" s="58"/>
    </row>
    <row r="27" spans="1:7" ht="12.75">
      <c r="A27" s="16" t="s">
        <v>22</v>
      </c>
      <c r="C27" s="55"/>
      <c r="D27" s="55"/>
      <c r="F27" s="4"/>
      <c r="G27" s="17"/>
    </row>
    <row r="28" spans="1:8" s="21" customFormat="1" ht="13.5" thickBot="1">
      <c r="A28" s="18" t="s">
        <v>3</v>
      </c>
      <c r="B28" s="18"/>
      <c r="C28" s="56"/>
      <c r="D28" s="56"/>
      <c r="E28" s="18"/>
      <c r="F28" s="56"/>
      <c r="G28" s="58"/>
      <c r="H28" s="58"/>
    </row>
    <row r="29" spans="1:7" ht="12.75">
      <c r="A29" s="16" t="s">
        <v>23</v>
      </c>
      <c r="C29" s="55"/>
      <c r="D29" s="55"/>
      <c r="F29" s="4"/>
      <c r="G29" s="17"/>
    </row>
    <row r="30" spans="1:8" s="21" customFormat="1" ht="13.5" thickBot="1">
      <c r="A30" s="18" t="s">
        <v>3</v>
      </c>
      <c r="B30" s="18"/>
      <c r="C30" s="56"/>
      <c r="D30" s="56"/>
      <c r="E30" s="18"/>
      <c r="F30" s="56"/>
      <c r="G30" s="58"/>
      <c r="H30" s="58"/>
    </row>
    <row r="31" spans="1:4" ht="12.75">
      <c r="A31" s="16" t="s">
        <v>24</v>
      </c>
      <c r="C31" s="55"/>
      <c r="D31" s="57"/>
    </row>
    <row r="32" spans="1:8" s="21" customFormat="1" ht="13.5" thickBot="1">
      <c r="A32" s="18" t="s">
        <v>3</v>
      </c>
      <c r="B32" s="18"/>
      <c r="C32" s="56"/>
      <c r="D32" s="56"/>
      <c r="E32" s="18"/>
      <c r="F32" s="56"/>
      <c r="G32" s="58"/>
      <c r="H32" s="58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88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7.57421875" style="1" customWidth="1"/>
    <col min="3" max="3" width="11.00390625" style="1" customWidth="1"/>
    <col min="4" max="4" width="11.28125" style="1" customWidth="1"/>
    <col min="5" max="6" width="10.7109375" style="1" customWidth="1"/>
    <col min="7" max="7" width="9.8515625" style="1" customWidth="1"/>
    <col min="8" max="8" width="10.57421875" style="1" customWidth="1"/>
    <col min="9" max="16384" width="9.140625" style="1" customWidth="1"/>
  </cols>
  <sheetData>
    <row r="1" spans="1:5" ht="15.75">
      <c r="A1" s="26" t="s">
        <v>31</v>
      </c>
      <c r="B1" s="27"/>
      <c r="C1" s="28"/>
      <c r="D1" s="27"/>
      <c r="E1" s="27"/>
    </row>
    <row r="3" spans="3:6" ht="13.5" thickBot="1">
      <c r="C3" s="3" t="s">
        <v>0</v>
      </c>
      <c r="D3" s="3" t="s">
        <v>1</v>
      </c>
      <c r="E3" s="3" t="s">
        <v>2</v>
      </c>
      <c r="F3" s="3" t="s">
        <v>3</v>
      </c>
    </row>
    <row r="4" spans="1:6" ht="12.75">
      <c r="A4" s="1" t="s">
        <v>4</v>
      </c>
      <c r="C4" s="4">
        <v>4000000</v>
      </c>
      <c r="D4" s="4">
        <v>2000000</v>
      </c>
      <c r="E4" s="4">
        <v>1000000</v>
      </c>
      <c r="F4" s="4">
        <f>SUM(C4:E4)</f>
        <v>7000000</v>
      </c>
    </row>
    <row r="5" spans="1:6" ht="12.75">
      <c r="A5" s="1" t="s">
        <v>5</v>
      </c>
      <c r="C5" s="4">
        <v>2000</v>
      </c>
      <c r="D5" s="1">
        <v>160</v>
      </c>
      <c r="F5" s="1">
        <f>C5+D5</f>
        <v>2160</v>
      </c>
    </row>
    <row r="6" spans="1:6" ht="12.75">
      <c r="A6" s="1" t="s">
        <v>6</v>
      </c>
      <c r="C6" s="1">
        <v>5</v>
      </c>
      <c r="D6" s="1">
        <v>8</v>
      </c>
      <c r="E6" s="1">
        <v>15</v>
      </c>
      <c r="F6" s="1">
        <f>C6+D6+E6</f>
        <v>28</v>
      </c>
    </row>
    <row r="7" spans="3:6" ht="12.75">
      <c r="C7" s="4"/>
      <c r="D7" s="4"/>
      <c r="E7" s="4"/>
      <c r="F7" s="4"/>
    </row>
    <row r="8" spans="3:6" ht="13.5" thickBot="1">
      <c r="C8" s="5" t="s">
        <v>7</v>
      </c>
      <c r="D8" s="5"/>
      <c r="E8" s="6" t="s">
        <v>2</v>
      </c>
      <c r="F8" s="6" t="s">
        <v>3</v>
      </c>
    </row>
    <row r="9" spans="1:6" ht="12.75">
      <c r="A9" s="1" t="s">
        <v>8</v>
      </c>
      <c r="B9" s="7">
        <v>0.07</v>
      </c>
      <c r="C9" s="4">
        <f>+C4*$B9</f>
        <v>280000</v>
      </c>
      <c r="D9" s="4">
        <f>+D4*$B9</f>
        <v>140000</v>
      </c>
      <c r="E9" s="4">
        <f>+E4*$B9</f>
        <v>70000</v>
      </c>
      <c r="F9" s="4">
        <f aca="true" t="shared" si="0" ref="F9:F14">SUM(C9:E9)</f>
        <v>490000</v>
      </c>
    </row>
    <row r="10" spans="1:6" ht="12.75">
      <c r="A10" s="1" t="s">
        <v>9</v>
      </c>
      <c r="C10" s="4">
        <v>170000</v>
      </c>
      <c r="D10" s="4">
        <v>225000</v>
      </c>
      <c r="E10" s="4">
        <v>650000</v>
      </c>
      <c r="F10" s="4">
        <f t="shared" si="0"/>
        <v>1045000</v>
      </c>
    </row>
    <row r="11" spans="1:6" ht="12.75">
      <c r="A11" s="1" t="s">
        <v>10</v>
      </c>
      <c r="C11" s="4">
        <v>30000</v>
      </c>
      <c r="D11" s="4">
        <v>20000</v>
      </c>
      <c r="E11" s="4">
        <v>5000</v>
      </c>
      <c r="F11" s="4">
        <f t="shared" si="0"/>
        <v>55000</v>
      </c>
    </row>
    <row r="12" spans="1:6" ht="12.75">
      <c r="A12" s="1" t="s">
        <v>11</v>
      </c>
      <c r="B12" s="7">
        <v>0.03</v>
      </c>
      <c r="C12" s="4">
        <f>+C4*$B12</f>
        <v>120000</v>
      </c>
      <c r="D12" s="4">
        <f>+D4*$B12</f>
        <v>60000</v>
      </c>
      <c r="E12" s="4">
        <f>+E4*$B12</f>
        <v>30000</v>
      </c>
      <c r="F12" s="4">
        <f t="shared" si="0"/>
        <v>210000</v>
      </c>
    </row>
    <row r="13" spans="1:6" ht="13.5" thickBot="1">
      <c r="A13" s="1" t="s">
        <v>12</v>
      </c>
      <c r="C13" s="4">
        <v>55000</v>
      </c>
      <c r="D13" s="4">
        <v>70000</v>
      </c>
      <c r="E13" s="4">
        <v>75000</v>
      </c>
      <c r="F13" s="4">
        <f t="shared" si="0"/>
        <v>200000</v>
      </c>
    </row>
    <row r="14" spans="1:6" ht="12.75">
      <c r="A14" s="2" t="s">
        <v>13</v>
      </c>
      <c r="B14" s="2"/>
      <c r="C14" s="8">
        <f>SUM(C9:C13)</f>
        <v>655000</v>
      </c>
      <c r="D14" s="8">
        <f>SUM(D9:D13)</f>
        <v>515000</v>
      </c>
      <c r="E14" s="8">
        <f>SUM(E9:E13)</f>
        <v>830000</v>
      </c>
      <c r="F14" s="8">
        <f t="shared" si="0"/>
        <v>2000000</v>
      </c>
    </row>
    <row r="16" ht="12.75">
      <c r="A16" s="9" t="s">
        <v>14</v>
      </c>
    </row>
    <row r="17" spans="1:8" ht="39" customHeight="1" thickBot="1">
      <c r="A17" s="10"/>
      <c r="B17" s="10"/>
      <c r="C17" s="10" t="s">
        <v>0</v>
      </c>
      <c r="D17" s="10" t="s">
        <v>1</v>
      </c>
      <c r="E17" s="10"/>
      <c r="F17" s="10" t="s">
        <v>3</v>
      </c>
      <c r="G17" s="10" t="s">
        <v>15</v>
      </c>
      <c r="H17" s="10" t="s">
        <v>16</v>
      </c>
    </row>
    <row r="18" spans="1:8" ht="13.5" thickBot="1">
      <c r="A18" s="11" t="s">
        <v>17</v>
      </c>
      <c r="B18" s="11"/>
      <c r="C18" s="12">
        <f>C14</f>
        <v>655000</v>
      </c>
      <c r="D18" s="12">
        <f>D14</f>
        <v>515000</v>
      </c>
      <c r="E18" s="13"/>
      <c r="F18" s="14"/>
      <c r="G18" s="15"/>
      <c r="H18" s="13"/>
    </row>
    <row r="19" spans="1:7" ht="12.75">
      <c r="A19" s="16" t="s">
        <v>18</v>
      </c>
      <c r="C19" s="4">
        <f>0</f>
        <v>0</v>
      </c>
      <c r="D19" s="4">
        <f>E14</f>
        <v>830000</v>
      </c>
      <c r="F19" s="4"/>
      <c r="G19" s="17"/>
    </row>
    <row r="20" spans="1:8" s="21" customFormat="1" ht="13.5" thickBot="1">
      <c r="A20" s="18" t="s">
        <v>3</v>
      </c>
      <c r="B20" s="18"/>
      <c r="C20" s="19">
        <f>+C18+C19</f>
        <v>655000</v>
      </c>
      <c r="D20" s="19">
        <f>+D18+D19</f>
        <v>1345000</v>
      </c>
      <c r="E20" s="18"/>
      <c r="F20" s="19">
        <f>C20+D20</f>
        <v>2000000</v>
      </c>
      <c r="G20" s="20">
        <f>C20/C$5</f>
        <v>327.5</v>
      </c>
      <c r="H20" s="20">
        <f>D20/D$5</f>
        <v>8406.25</v>
      </c>
    </row>
    <row r="21" spans="1:7" ht="12.75">
      <c r="A21" s="16" t="s">
        <v>19</v>
      </c>
      <c r="C21" s="4">
        <f>C6/($C6+$D6)*$E$14</f>
        <v>319230.76923076925</v>
      </c>
      <c r="D21" s="4">
        <f>D6/($C6+$D6)*$E$14</f>
        <v>510769.2307692308</v>
      </c>
      <c r="F21" s="4"/>
      <c r="G21" s="17"/>
    </row>
    <row r="22" spans="1:8" s="21" customFormat="1" ht="13.5" thickBot="1">
      <c r="A22" s="18" t="s">
        <v>3</v>
      </c>
      <c r="B22" s="18"/>
      <c r="C22" s="19">
        <f>C21+C$18</f>
        <v>974230.7692307692</v>
      </c>
      <c r="D22" s="19">
        <f>D21+D$18</f>
        <v>1025769.2307692308</v>
      </c>
      <c r="E22" s="18"/>
      <c r="F22" s="19">
        <f>C22+D22</f>
        <v>2000000</v>
      </c>
      <c r="G22" s="20">
        <f>C22/C$5</f>
        <v>487.11538461538464</v>
      </c>
      <c r="H22" s="20">
        <f>D22/D$5</f>
        <v>6411.057692307692</v>
      </c>
    </row>
    <row r="23" spans="1:7" ht="12.75">
      <c r="A23" s="16" t="s">
        <v>20</v>
      </c>
      <c r="C23" s="4">
        <f>C10/($C10+$D10)*$E$14</f>
        <v>357215.1898734177</v>
      </c>
      <c r="D23" s="4">
        <f>D10/($C10+$D10)*$E$14</f>
        <v>472784.81012658234</v>
      </c>
      <c r="F23" s="4"/>
      <c r="G23" s="17"/>
    </row>
    <row r="24" spans="1:8" s="21" customFormat="1" ht="13.5" thickBot="1">
      <c r="A24" s="18" t="s">
        <v>3</v>
      </c>
      <c r="B24" s="18"/>
      <c r="C24" s="19">
        <f>C23+C$18</f>
        <v>1012215.1898734177</v>
      </c>
      <c r="D24" s="19">
        <f>D23+D$18</f>
        <v>987784.8101265824</v>
      </c>
      <c r="E24" s="18"/>
      <c r="F24" s="19">
        <f>C24+D24</f>
        <v>2000000</v>
      </c>
      <c r="G24" s="20">
        <f>C24/C$5</f>
        <v>506.10759493670884</v>
      </c>
      <c r="H24" s="20">
        <f>D24/D$5</f>
        <v>6173.65506329114</v>
      </c>
    </row>
    <row r="25" spans="1:7" ht="12.75">
      <c r="A25" s="16" t="s">
        <v>21</v>
      </c>
      <c r="C25" s="4">
        <f>C14/($C14+$D14)*$E$14</f>
        <v>464658.1196581197</v>
      </c>
      <c r="D25" s="4">
        <f>D14/($C14+$D14)*$E$14</f>
        <v>365341.8803418803</v>
      </c>
      <c r="F25" s="4"/>
      <c r="G25" s="17"/>
    </row>
    <row r="26" spans="1:8" s="21" customFormat="1" ht="13.5" thickBot="1">
      <c r="A26" s="18" t="s">
        <v>3</v>
      </c>
      <c r="B26" s="18"/>
      <c r="C26" s="19">
        <f>C25+C$18</f>
        <v>1119658.1196581197</v>
      </c>
      <c r="D26" s="19">
        <f>D25+D$18</f>
        <v>880341.8803418803</v>
      </c>
      <c r="E26" s="18"/>
      <c r="F26" s="19">
        <f>C26+D26</f>
        <v>2000000</v>
      </c>
      <c r="G26" s="20">
        <f>C26/C$5</f>
        <v>559.8290598290598</v>
      </c>
      <c r="H26" s="20">
        <f>D26/D$5</f>
        <v>5502.136752136752</v>
      </c>
    </row>
    <row r="27" spans="1:7" ht="12.75">
      <c r="A27" s="16" t="s">
        <v>22</v>
      </c>
      <c r="C27" s="4">
        <f>C4/($C4+$D4)*$E$14</f>
        <v>553333.3333333333</v>
      </c>
      <c r="D27" s="4">
        <f>D4/($C4+$D4)*$E$14</f>
        <v>276666.6666666666</v>
      </c>
      <c r="F27" s="4"/>
      <c r="G27" s="17"/>
    </row>
    <row r="28" spans="1:8" s="21" customFormat="1" ht="13.5" thickBot="1">
      <c r="A28" s="18" t="s">
        <v>3</v>
      </c>
      <c r="B28" s="18"/>
      <c r="C28" s="19">
        <f>C27+C$18</f>
        <v>1208333.3333333333</v>
      </c>
      <c r="D28" s="19">
        <f>D27+D$18</f>
        <v>791666.6666666666</v>
      </c>
      <c r="E28" s="18"/>
      <c r="F28" s="19">
        <f>C28+D28</f>
        <v>2000000</v>
      </c>
      <c r="G28" s="20">
        <f>C28/C$5</f>
        <v>604.1666666666666</v>
      </c>
      <c r="H28" s="20">
        <f>D28/D$5</f>
        <v>4947.916666666666</v>
      </c>
    </row>
    <row r="29" spans="1:7" ht="12.75">
      <c r="A29" s="16" t="s">
        <v>23</v>
      </c>
      <c r="C29" s="4">
        <f>C5/($C5+$D5)*$E$14</f>
        <v>768518.5185185185</v>
      </c>
      <c r="D29" s="4">
        <f>D5/($C5+$D5)*$E$14</f>
        <v>61481.481481481474</v>
      </c>
      <c r="F29" s="4"/>
      <c r="G29" s="17"/>
    </row>
    <row r="30" spans="1:8" s="21" customFormat="1" ht="13.5" thickBot="1">
      <c r="A30" s="18" t="s">
        <v>3</v>
      </c>
      <c r="B30" s="18"/>
      <c r="C30" s="19">
        <f>C29+C$18</f>
        <v>1423518.5185185187</v>
      </c>
      <c r="D30" s="19">
        <f>D29+D$18</f>
        <v>576481.4814814815</v>
      </c>
      <c r="E30" s="18"/>
      <c r="F30" s="19">
        <f>C30+D30</f>
        <v>2000000</v>
      </c>
      <c r="G30" s="20">
        <f>C30/C$5</f>
        <v>711.7592592592594</v>
      </c>
      <c r="H30" s="20">
        <f>D30/D$5</f>
        <v>3603.009259259259</v>
      </c>
    </row>
    <row r="31" spans="1:4" ht="12.75">
      <c r="A31" s="16" t="s">
        <v>24</v>
      </c>
      <c r="C31" s="4">
        <f>E14</f>
        <v>830000</v>
      </c>
      <c r="D31" s="1">
        <v>0</v>
      </c>
    </row>
    <row r="32" spans="1:8" s="21" customFormat="1" ht="13.5" thickBot="1">
      <c r="A32" s="18" t="s">
        <v>3</v>
      </c>
      <c r="B32" s="18"/>
      <c r="C32" s="19">
        <f>C31+C$18</f>
        <v>1485000</v>
      </c>
      <c r="D32" s="19">
        <f>D31+D$18</f>
        <v>515000</v>
      </c>
      <c r="E32" s="18"/>
      <c r="F32" s="19">
        <f>C32+D32</f>
        <v>2000000</v>
      </c>
      <c r="G32" s="20">
        <f>C32/C$5</f>
        <v>742.5</v>
      </c>
      <c r="H32" s="20">
        <f>D32/D$5</f>
        <v>3218.75</v>
      </c>
    </row>
    <row r="40" ht="12.75">
      <c r="A40" s="2" t="s">
        <v>25</v>
      </c>
    </row>
    <row r="41" ht="12.75">
      <c r="A41" s="2"/>
    </row>
    <row r="42" spans="1:4" ht="12.75">
      <c r="A42" s="1" t="s">
        <v>26</v>
      </c>
      <c r="C42" s="4">
        <f>C14</f>
        <v>655000</v>
      </c>
      <c r="D42" s="4">
        <f>D14</f>
        <v>515000</v>
      </c>
    </row>
    <row r="43" spans="1:4" ht="12.75">
      <c r="A43" s="22" t="s">
        <v>27</v>
      </c>
      <c r="C43" s="4">
        <f>C5/($C5+$D5)*$E$10</f>
        <v>601851.8518518519</v>
      </c>
      <c r="D43" s="4">
        <f>D5/($C5+$D5)*$E$10</f>
        <v>48148.148148148146</v>
      </c>
    </row>
    <row r="44" spans="1:4" ht="12.75">
      <c r="A44" s="1" t="s">
        <v>28</v>
      </c>
      <c r="C44" s="4">
        <f>C11/($C11+$D11)*$E$11</f>
        <v>3000</v>
      </c>
      <c r="D44" s="4">
        <f>D11/($C11+$D11)*$E$11</f>
        <v>2000</v>
      </c>
    </row>
    <row r="45" spans="1:4" ht="12.75">
      <c r="A45" s="1" t="s">
        <v>29</v>
      </c>
      <c r="C45" s="4">
        <f>C4/($C4+$D4)*($E$9+$E$12)</f>
        <v>66666.66666666666</v>
      </c>
      <c r="D45" s="4">
        <f>D4/($C4+$D4)*($E$9+$E$12)</f>
        <v>33333.33333333333</v>
      </c>
    </row>
    <row r="46" spans="1:4" ht="12.75">
      <c r="A46" s="1" t="s">
        <v>30</v>
      </c>
      <c r="C46" s="4">
        <f>C13/($C13+$D13)*$E$13</f>
        <v>33000</v>
      </c>
      <c r="D46" s="4">
        <f>D13/($C13+$D13)*$E$13</f>
        <v>42000.00000000001</v>
      </c>
    </row>
    <row r="47" spans="1:8" ht="12.75">
      <c r="A47" s="23" t="s">
        <v>3</v>
      </c>
      <c r="B47" s="23"/>
      <c r="C47" s="24">
        <f>SUM(C42:C46)</f>
        <v>1359518.5185185187</v>
      </c>
      <c r="D47" s="24">
        <f>SUM(D42:D46)</f>
        <v>640481.4814814815</v>
      </c>
      <c r="E47" s="23"/>
      <c r="F47" s="24">
        <f>C47+D47</f>
        <v>2000000</v>
      </c>
      <c r="G47" s="25">
        <f>C47/C$5</f>
        <v>679.7592592592594</v>
      </c>
      <c r="H47" s="25">
        <f>D47/D$5</f>
        <v>4003.009259259259</v>
      </c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88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2" width="5.28125" style="1" customWidth="1"/>
    <col min="3" max="3" width="11.00390625" style="1" customWidth="1"/>
    <col min="4" max="4" width="11.28125" style="1" customWidth="1"/>
    <col min="5" max="6" width="10.7109375" style="1" customWidth="1"/>
    <col min="7" max="7" width="3.7109375" style="1" customWidth="1"/>
    <col min="8" max="8" width="10.57421875" style="1" customWidth="1"/>
    <col min="9" max="9" width="28.7109375" style="1" customWidth="1"/>
    <col min="10" max="16384" width="9.140625" style="1" customWidth="1"/>
  </cols>
  <sheetData>
    <row r="1" spans="1:5" ht="15.75">
      <c r="A1" s="26" t="s">
        <v>47</v>
      </c>
      <c r="B1" s="27"/>
      <c r="C1" s="28"/>
      <c r="D1" s="27"/>
      <c r="E1" s="27"/>
    </row>
    <row r="3" spans="3:12" ht="13.5" thickBot="1">
      <c r="C3" s="3" t="s">
        <v>0</v>
      </c>
      <c r="D3" s="3" t="s">
        <v>1</v>
      </c>
      <c r="E3" s="3" t="s">
        <v>2</v>
      </c>
      <c r="F3" s="3" t="s">
        <v>3</v>
      </c>
      <c r="G3" s="37"/>
      <c r="H3"/>
      <c r="I3"/>
      <c r="J3"/>
      <c r="K3"/>
      <c r="L3"/>
    </row>
    <row r="4" spans="1:12" ht="13.5" thickBot="1">
      <c r="A4" s="1" t="s">
        <v>4</v>
      </c>
      <c r="C4" s="4">
        <v>4000000</v>
      </c>
      <c r="D4" s="4">
        <v>2000000</v>
      </c>
      <c r="E4" s="4">
        <v>1000000</v>
      </c>
      <c r="F4" s="4">
        <f>SUM(C4:E4)</f>
        <v>7000000</v>
      </c>
      <c r="G4" s="4"/>
      <c r="H4" s="48" t="s">
        <v>37</v>
      </c>
      <c r="I4" s="49" t="s">
        <v>38</v>
      </c>
      <c r="J4" s="49" t="s">
        <v>0</v>
      </c>
      <c r="K4" s="50" t="s">
        <v>1</v>
      </c>
      <c r="L4"/>
    </row>
    <row r="5" spans="1:12" ht="12.75">
      <c r="A5" s="1" t="s">
        <v>5</v>
      </c>
      <c r="C5" s="4">
        <v>2000</v>
      </c>
      <c r="D5" s="1">
        <v>160</v>
      </c>
      <c r="F5" s="1">
        <f>C5+D5</f>
        <v>2160</v>
      </c>
      <c r="H5" s="40">
        <v>1</v>
      </c>
      <c r="I5" s="41" t="s">
        <v>18</v>
      </c>
      <c r="J5" s="41">
        <v>0</v>
      </c>
      <c r="K5" s="42">
        <v>1</v>
      </c>
      <c r="L5"/>
    </row>
    <row r="6" spans="1:12" ht="12.75">
      <c r="A6" s="1" t="s">
        <v>6</v>
      </c>
      <c r="C6" s="1">
        <v>5</v>
      </c>
      <c r="D6" s="1">
        <v>8</v>
      </c>
      <c r="E6" s="1">
        <v>15</v>
      </c>
      <c r="F6" s="1">
        <f>C6+D6+E6</f>
        <v>28</v>
      </c>
      <c r="H6" s="40">
        <v>2</v>
      </c>
      <c r="I6" s="41" t="s">
        <v>32</v>
      </c>
      <c r="J6" s="41">
        <f>C6</f>
        <v>5</v>
      </c>
      <c r="K6" s="42">
        <f>D6</f>
        <v>8</v>
      </c>
      <c r="L6"/>
    </row>
    <row r="7" spans="3:12" ht="12.75">
      <c r="C7" s="4"/>
      <c r="D7" s="4"/>
      <c r="E7" s="4"/>
      <c r="F7" s="4"/>
      <c r="G7" s="4"/>
      <c r="H7" s="40">
        <v>3</v>
      </c>
      <c r="I7" s="41" t="s">
        <v>33</v>
      </c>
      <c r="J7" s="43">
        <f>C10</f>
        <v>170000</v>
      </c>
      <c r="K7" s="44">
        <f>D10</f>
        <v>225000</v>
      </c>
      <c r="L7"/>
    </row>
    <row r="8" spans="3:12" ht="13.5" thickBot="1">
      <c r="C8" s="5" t="s">
        <v>7</v>
      </c>
      <c r="D8" s="5"/>
      <c r="E8" s="6" t="s">
        <v>2</v>
      </c>
      <c r="F8" s="6" t="s">
        <v>3</v>
      </c>
      <c r="G8" s="38"/>
      <c r="H8" s="40">
        <v>4</v>
      </c>
      <c r="I8" s="41" t="s">
        <v>34</v>
      </c>
      <c r="J8" s="43">
        <f>C14</f>
        <v>655000</v>
      </c>
      <c r="K8" s="44">
        <f>D14</f>
        <v>515000</v>
      </c>
      <c r="L8"/>
    </row>
    <row r="9" spans="1:12" ht="12.75">
      <c r="A9" s="1" t="s">
        <v>8</v>
      </c>
      <c r="B9" s="7">
        <v>0.07</v>
      </c>
      <c r="C9" s="4">
        <f>+C4*$B9</f>
        <v>280000</v>
      </c>
      <c r="D9" s="4">
        <f>+D4*$B9</f>
        <v>140000</v>
      </c>
      <c r="E9" s="4">
        <f>+E4*$B9</f>
        <v>70000</v>
      </c>
      <c r="F9" s="4">
        <f aca="true" t="shared" si="0" ref="F9:F14">SUM(C9:E9)</f>
        <v>490000</v>
      </c>
      <c r="G9" s="4"/>
      <c r="H9" s="40">
        <v>5</v>
      </c>
      <c r="I9" s="41" t="s">
        <v>35</v>
      </c>
      <c r="J9" s="43">
        <f>C4</f>
        <v>4000000</v>
      </c>
      <c r="K9" s="44">
        <f>D4</f>
        <v>2000000</v>
      </c>
      <c r="L9"/>
    </row>
    <row r="10" spans="1:12" ht="12.75">
      <c r="A10" s="1" t="s">
        <v>9</v>
      </c>
      <c r="C10" s="4">
        <v>170000</v>
      </c>
      <c r="D10" s="4">
        <v>225000</v>
      </c>
      <c r="E10" s="4">
        <v>650000</v>
      </c>
      <c r="F10" s="4">
        <f t="shared" si="0"/>
        <v>1045000</v>
      </c>
      <c r="G10" s="4"/>
      <c r="H10" s="40">
        <v>6</v>
      </c>
      <c r="I10" s="41" t="s">
        <v>36</v>
      </c>
      <c r="J10" s="43">
        <f>C5</f>
        <v>2000</v>
      </c>
      <c r="K10" s="44">
        <f>D5</f>
        <v>160</v>
      </c>
      <c r="L10"/>
    </row>
    <row r="11" spans="1:12" ht="13.5" thickBot="1">
      <c r="A11" s="1" t="s">
        <v>10</v>
      </c>
      <c r="C11" s="4">
        <v>30000</v>
      </c>
      <c r="D11" s="4">
        <v>20000</v>
      </c>
      <c r="E11" s="4">
        <v>5000</v>
      </c>
      <c r="F11" s="4">
        <f t="shared" si="0"/>
        <v>55000</v>
      </c>
      <c r="G11" s="4"/>
      <c r="H11" s="45">
        <v>7</v>
      </c>
      <c r="I11" s="46" t="s">
        <v>24</v>
      </c>
      <c r="J11" s="46">
        <v>1</v>
      </c>
      <c r="K11" s="47">
        <v>0</v>
      </c>
      <c r="L11"/>
    </row>
    <row r="12" spans="1:12" ht="12.75">
      <c r="A12" s="1" t="s">
        <v>11</v>
      </c>
      <c r="B12" s="7">
        <v>0.03</v>
      </c>
      <c r="C12" s="4">
        <f>+C4*$B12</f>
        <v>120000</v>
      </c>
      <c r="D12" s="4">
        <f>+D4*$B12</f>
        <v>60000</v>
      </c>
      <c r="E12" s="4">
        <f>+E4*$B12</f>
        <v>30000</v>
      </c>
      <c r="F12" s="4">
        <f t="shared" si="0"/>
        <v>210000</v>
      </c>
      <c r="G12" s="4"/>
      <c r="H12"/>
      <c r="I12"/>
      <c r="J12"/>
      <c r="K12"/>
      <c r="L12"/>
    </row>
    <row r="13" spans="1:12" ht="13.5" thickBot="1">
      <c r="A13" s="1" t="s">
        <v>12</v>
      </c>
      <c r="C13" s="4">
        <v>55000</v>
      </c>
      <c r="D13" s="4">
        <v>70000</v>
      </c>
      <c r="E13" s="4">
        <v>75000</v>
      </c>
      <c r="F13" s="4">
        <f t="shared" si="0"/>
        <v>200000</v>
      </c>
      <c r="G13" s="4"/>
      <c r="H13"/>
      <c r="I13"/>
      <c r="J13"/>
      <c r="K13"/>
      <c r="L13"/>
    </row>
    <row r="14" spans="1:12" ht="12.75">
      <c r="A14" s="2" t="s">
        <v>13</v>
      </c>
      <c r="B14" s="2"/>
      <c r="C14" s="8">
        <f>SUM(C9:C13)</f>
        <v>655000</v>
      </c>
      <c r="D14" s="8">
        <f>SUM(D9:D13)</f>
        <v>515000</v>
      </c>
      <c r="E14" s="8">
        <f>SUM(E9:E13)</f>
        <v>830000</v>
      </c>
      <c r="F14" s="8">
        <f t="shared" si="0"/>
        <v>2000000</v>
      </c>
      <c r="G14" s="39"/>
      <c r="H14"/>
      <c r="I14"/>
      <c r="J14"/>
      <c r="K14"/>
      <c r="L14"/>
    </row>
    <row r="15" spans="8:12" ht="12.75"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 s="36" t="s">
        <v>46</v>
      </c>
      <c r="B17" s="51">
        <f>F19</f>
        <v>1</v>
      </c>
      <c r="C17" s="51" t="str">
        <f>VLOOKUP(B17,H5:I11,2)</f>
        <v>All joint costs to sewerage</v>
      </c>
      <c r="D17" s="51"/>
      <c r="E17" s="52"/>
      <c r="F17"/>
      <c r="G17"/>
      <c r="H17"/>
      <c r="I17"/>
      <c r="J17"/>
      <c r="K17"/>
      <c r="L17"/>
    </row>
    <row r="18" spans="1:12" ht="3.7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21" customFormat="1" ht="13.5" thickBot="1">
      <c r="A19"/>
      <c r="B19"/>
      <c r="C19" s="53" t="s">
        <v>0</v>
      </c>
      <c r="D19" s="53" t="s">
        <v>1</v>
      </c>
      <c r="E19" s="30" t="s">
        <v>3</v>
      </c>
      <c r="F19">
        <v>1</v>
      </c>
      <c r="G19"/>
      <c r="H19"/>
      <c r="I19"/>
      <c r="J19"/>
      <c r="K19"/>
      <c r="L19"/>
    </row>
    <row r="20" spans="1:12" s="21" customFormat="1" ht="12.75">
      <c r="A20" t="s">
        <v>41</v>
      </c>
      <c r="B20"/>
      <c r="C20" s="32">
        <f>C4</f>
        <v>4000000</v>
      </c>
      <c r="D20" s="32">
        <f>D4</f>
        <v>2000000</v>
      </c>
      <c r="E20" s="30"/>
      <c r="F20"/>
      <c r="G20"/>
      <c r="H20"/>
      <c r="I20"/>
      <c r="J20"/>
      <c r="K20"/>
      <c r="L20"/>
    </row>
    <row r="21" spans="1:12" s="21" customFormat="1" ht="12.75">
      <c r="A21" t="s">
        <v>43</v>
      </c>
      <c r="B21"/>
      <c r="C21" s="33">
        <f>C14/C5</f>
        <v>327.5</v>
      </c>
      <c r="D21" s="33">
        <f>D14/D5</f>
        <v>3218.75</v>
      </c>
      <c r="E21" s="30"/>
      <c r="F21"/>
      <c r="G21"/>
      <c r="H21"/>
      <c r="I21"/>
      <c r="J21"/>
      <c r="K21"/>
      <c r="L21"/>
    </row>
    <row r="22" spans="1:12" ht="12.75">
      <c r="A22" t="s">
        <v>42</v>
      </c>
      <c r="B22"/>
      <c r="C22" s="29">
        <f>VLOOKUP(F19,H5:K11,3)</f>
        <v>0</v>
      </c>
      <c r="D22" s="29">
        <f>VLOOKUP(F19,H5:K11,4)</f>
        <v>1</v>
      </c>
      <c r="E22" s="29">
        <f>C22+D22</f>
        <v>1</v>
      </c>
      <c r="F22"/>
      <c r="G22"/>
      <c r="H22"/>
      <c r="I22"/>
      <c r="J22"/>
      <c r="K22"/>
      <c r="L22"/>
    </row>
    <row r="23" spans="1:12" s="21" customFormat="1" ht="12.75">
      <c r="A23" t="s">
        <v>39</v>
      </c>
      <c r="B23"/>
      <c r="C23" s="31">
        <f>C22/E22</f>
        <v>0</v>
      </c>
      <c r="D23" s="31">
        <f>D22/E22</f>
        <v>1</v>
      </c>
      <c r="E23" s="31">
        <f>C23+D23</f>
        <v>1</v>
      </c>
      <c r="F23"/>
      <c r="G23"/>
      <c r="H23"/>
      <c r="I23"/>
      <c r="J23"/>
      <c r="K23"/>
      <c r="L23"/>
    </row>
    <row r="24" spans="1:12" ht="12.75">
      <c r="A24" t="s">
        <v>40</v>
      </c>
      <c r="B24"/>
      <c r="C24" s="29">
        <f>C23*jointc</f>
        <v>0</v>
      </c>
      <c r="D24" s="29">
        <f>D23*jointc</f>
        <v>830000</v>
      </c>
      <c r="E24" s="29">
        <f>C24+D24</f>
        <v>830000</v>
      </c>
      <c r="F24"/>
      <c r="G24"/>
      <c r="H24"/>
      <c r="I24"/>
      <c r="J24"/>
      <c r="K24"/>
      <c r="L24"/>
    </row>
    <row r="25" spans="1:12" s="21" customFormat="1" ht="13.5" thickBot="1">
      <c r="A25" t="s">
        <v>44</v>
      </c>
      <c r="B25"/>
      <c r="C25" s="34">
        <f>C24/C5</f>
        <v>0</v>
      </c>
      <c r="D25" s="34">
        <f>D24/D5</f>
        <v>5187.5</v>
      </c>
      <c r="E25"/>
      <c r="F25"/>
      <c r="G25"/>
      <c r="H25"/>
      <c r="I25"/>
      <c r="J25"/>
      <c r="K25"/>
      <c r="L25"/>
    </row>
    <row r="26" spans="1:12" ht="12.75">
      <c r="A26" t="s">
        <v>45</v>
      </c>
      <c r="B26"/>
      <c r="C26" s="35">
        <f>C21+C25</f>
        <v>327.5</v>
      </c>
      <c r="D26" s="35">
        <f>D21+D25</f>
        <v>8406.25</v>
      </c>
      <c r="E26"/>
      <c r="F26"/>
      <c r="G26"/>
      <c r="H26"/>
      <c r="I26"/>
      <c r="J26"/>
      <c r="K26"/>
      <c r="L26"/>
    </row>
    <row r="27" spans="1:12" s="21" customFormat="1" ht="12.75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s="21" customFormat="1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s="21" customFormat="1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s="21" customFormat="1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88"/>
  <headerFooter alignWithMargins="0">
    <oddHeader>&amp;C&amp;A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2001-01-19T00:38:33Z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